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f5978dd983e5ed6b/_Work/_ОбщийДоступ/Виталий Саныч/Анализ/"/>
    </mc:Choice>
  </mc:AlternateContent>
  <workbookProtection workbookAlgorithmName="SHA-512" workbookHashValue="zWso8eua8lp7NrWz4VfT9luvu7XXy2sRaJ5ugwaNFpY6j+Mjdbj1BFoeNndVvon90XGAbFwK12qNcmid67tnZA==" workbookSaltValue="3drmVm9mPNKDyNz0xkLMqA==" workbookSpinCount="100000" lockStructure="1"/>
  <bookViews>
    <workbookView xWindow="0" yWindow="0" windowWidth="28800" windowHeight="12585" activeTab="1"/>
  </bookViews>
  <sheets>
    <sheet name="График" sheetId="2" r:id="rId1"/>
    <sheet name="Индикаторы" sheetId="1" r:id="rId2"/>
  </sheets>
  <definedNames>
    <definedName name="_xlnm.Print_Area" localSheetId="0">График!$A$1:$P$147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I51" i="1"/>
  <c r="N44" i="1"/>
  <c r="I44" i="1"/>
  <c r="N37" i="1"/>
  <c r="I37" i="1"/>
  <c r="N30" i="1"/>
  <c r="I30" i="1"/>
  <c r="N23" i="1"/>
  <c r="I23" i="1"/>
  <c r="N16" i="1"/>
  <c r="I16" i="1"/>
  <c r="N9" i="1"/>
  <c r="I9" i="1"/>
  <c r="D51" i="1"/>
  <c r="D44" i="1"/>
  <c r="D37" i="1"/>
  <c r="D30" i="1"/>
  <c r="D23" i="1"/>
  <c r="D16" i="1"/>
  <c r="D9" i="1"/>
  <c r="A52" i="1"/>
  <c r="A1" i="2" l="1"/>
  <c r="I55" i="1" l="1"/>
  <c r="H55" i="1"/>
  <c r="G55" i="1"/>
  <c r="F55" i="1"/>
  <c r="E55" i="1"/>
  <c r="D55" i="1"/>
  <c r="C55" i="1"/>
  <c r="J14" i="1"/>
  <c r="J20" i="1" s="1"/>
  <c r="N48" i="1"/>
  <c r="I48" i="1"/>
  <c r="B9" i="1"/>
  <c r="C43" i="1"/>
  <c r="K43" i="1"/>
  <c r="L43" i="1"/>
  <c r="M43" i="1"/>
  <c r="J36" i="1"/>
  <c r="K36" i="1"/>
  <c r="L36" i="1"/>
  <c r="M36" i="1"/>
  <c r="E29" i="1"/>
  <c r="F29" i="1"/>
  <c r="G29" i="1"/>
  <c r="H29" i="1"/>
  <c r="J29" i="1"/>
  <c r="K29" i="1"/>
  <c r="L29" i="1"/>
  <c r="M29" i="1"/>
  <c r="C8" i="1"/>
  <c r="E8" i="1"/>
  <c r="F8" i="1"/>
  <c r="G8" i="1"/>
  <c r="H8" i="1"/>
  <c r="J8" i="1"/>
  <c r="K8" i="1"/>
  <c r="L8" i="1"/>
  <c r="M8" i="1"/>
  <c r="D27" i="1"/>
  <c r="I28" i="1"/>
  <c r="C28" i="1"/>
  <c r="C29" i="1" s="1"/>
  <c r="H14" i="1"/>
  <c r="H20" i="1" s="1"/>
  <c r="J41" i="1"/>
  <c r="J43" i="1" s="1"/>
  <c r="H41" i="1"/>
  <c r="H43" i="1" s="1"/>
  <c r="G41" i="1"/>
  <c r="G43" i="1" s="1"/>
  <c r="F41" i="1"/>
  <c r="F43" i="1" s="1"/>
  <c r="E42" i="1"/>
  <c r="E41" i="1"/>
  <c r="E43" i="1" s="1"/>
  <c r="D48" i="1"/>
  <c r="D42" i="1"/>
  <c r="D41" i="1"/>
  <c r="M49" i="1"/>
  <c r="M50" i="1" s="1"/>
  <c r="L49" i="1"/>
  <c r="L50" i="1" s="1"/>
  <c r="K49" i="1"/>
  <c r="K50" i="1" s="1"/>
  <c r="J49" i="1"/>
  <c r="J50" i="1" s="1"/>
  <c r="H49" i="1"/>
  <c r="H50" i="1" s="1"/>
  <c r="G49" i="1"/>
  <c r="G50" i="1" s="1"/>
  <c r="F49" i="1"/>
  <c r="F50" i="1" s="1"/>
  <c r="E49" i="1"/>
  <c r="E50" i="1" s="1"/>
  <c r="C49" i="1"/>
  <c r="C50" i="1" s="1"/>
  <c r="M21" i="1"/>
  <c r="L21" i="1"/>
  <c r="K21" i="1"/>
  <c r="J21" i="1"/>
  <c r="H21" i="1"/>
  <c r="G21" i="1"/>
  <c r="F21" i="1"/>
  <c r="E21" i="1"/>
  <c r="D14" i="1"/>
  <c r="D7" i="1"/>
  <c r="D6" i="1"/>
  <c r="C21" i="1"/>
  <c r="D21" i="1" s="1"/>
  <c r="M20" i="1"/>
  <c r="M22" i="1" s="1"/>
  <c r="L20" i="1"/>
  <c r="K20" i="1"/>
  <c r="K22" i="1" s="1"/>
  <c r="G20" i="1"/>
  <c r="F20" i="1"/>
  <c r="E20" i="1"/>
  <c r="C20" i="1"/>
  <c r="M13" i="1"/>
  <c r="M15" i="1" s="1"/>
  <c r="L13" i="1"/>
  <c r="L15" i="1" s="1"/>
  <c r="K13" i="1"/>
  <c r="K15" i="1" s="1"/>
  <c r="J13" i="1"/>
  <c r="H13" i="1"/>
  <c r="H15" i="1" s="1"/>
  <c r="G13" i="1"/>
  <c r="G15" i="1" s="1"/>
  <c r="F13" i="1"/>
  <c r="F15" i="1" s="1"/>
  <c r="E13" i="1"/>
  <c r="E15" i="1" s="1"/>
  <c r="C13" i="1"/>
  <c r="D13" i="1" s="1"/>
  <c r="D15" i="1" s="1"/>
  <c r="I35" i="1"/>
  <c r="N35" i="1"/>
  <c r="N34" i="1"/>
  <c r="D35" i="1"/>
  <c r="F22" i="1" l="1"/>
  <c r="J22" i="1"/>
  <c r="L22" i="1"/>
  <c r="H22" i="1"/>
  <c r="G22" i="1"/>
  <c r="E22" i="1"/>
  <c r="J15" i="1"/>
  <c r="D43" i="1"/>
  <c r="D8" i="1"/>
  <c r="D29" i="1"/>
  <c r="D28" i="1"/>
  <c r="N36" i="1"/>
  <c r="G54" i="1" s="1"/>
  <c r="C22" i="1"/>
  <c r="D20" i="1"/>
  <c r="D22" i="1" s="1"/>
  <c r="C15" i="1"/>
  <c r="D49" i="1"/>
  <c r="D50" i="1" s="1"/>
  <c r="C34" i="1"/>
  <c r="D34" i="1" l="1"/>
  <c r="D36" i="1" s="1"/>
  <c r="C36" i="1"/>
  <c r="H34" i="1"/>
  <c r="H36" i="1" s="1"/>
  <c r="G34" i="1"/>
  <c r="G36" i="1" s="1"/>
  <c r="F34" i="1"/>
  <c r="E35" i="1"/>
  <c r="E34" i="1"/>
  <c r="N49" i="1"/>
  <c r="N50" i="1" s="1"/>
  <c r="I54" i="1" s="1"/>
  <c r="I49" i="1"/>
  <c r="N42" i="1"/>
  <c r="I42" i="1"/>
  <c r="N41" i="1"/>
  <c r="I41" i="1"/>
  <c r="I43" i="1" s="1"/>
  <c r="N28" i="1"/>
  <c r="N27" i="1"/>
  <c r="I27" i="1"/>
  <c r="I29" i="1" s="1"/>
  <c r="N21" i="1"/>
  <c r="I21" i="1"/>
  <c r="N20" i="1"/>
  <c r="I20" i="1"/>
  <c r="B8" i="1"/>
  <c r="A12" i="1"/>
  <c r="B16" i="1" s="1"/>
  <c r="N14" i="1"/>
  <c r="I14" i="1"/>
  <c r="N13" i="1"/>
  <c r="I13" i="1"/>
  <c r="N6" i="1"/>
  <c r="N7" i="1"/>
  <c r="I7" i="1"/>
  <c r="I6" i="1"/>
  <c r="I8" i="1" l="1"/>
  <c r="E36" i="1"/>
  <c r="B15" i="1"/>
  <c r="A19" i="1"/>
  <c r="I34" i="1"/>
  <c r="I36" i="1" s="1"/>
  <c r="F36" i="1"/>
  <c r="N29" i="1"/>
  <c r="F54" i="1" s="1"/>
  <c r="I15" i="1"/>
  <c r="I22" i="1"/>
  <c r="N8" i="1"/>
  <c r="C54" i="1" s="1"/>
  <c r="N15" i="1"/>
  <c r="D54" i="1" s="1"/>
  <c r="N22" i="1"/>
  <c r="E54" i="1" s="1"/>
  <c r="N43" i="1"/>
  <c r="H54" i="1" s="1"/>
  <c r="I50" i="1"/>
  <c r="B23" i="1" l="1"/>
  <c r="A26" i="1"/>
  <c r="B22" i="1"/>
  <c r="B29" i="1" l="1"/>
  <c r="B30" i="1"/>
  <c r="A33" i="1"/>
  <c r="B37" i="1" l="1"/>
  <c r="A40" i="1"/>
  <c r="B36" i="1"/>
  <c r="B44" i="1" l="1"/>
  <c r="A47" i="1"/>
  <c r="B43" i="1"/>
  <c r="B51" i="1" l="1"/>
  <c r="B50" i="1"/>
</calcChain>
</file>

<file path=xl/sharedStrings.xml><?xml version="1.0" encoding="utf-8"?>
<sst xmlns="http://schemas.openxmlformats.org/spreadsheetml/2006/main" count="119" uniqueCount="43">
  <si>
    <t>2016</t>
  </si>
  <si>
    <t>2014</t>
  </si>
  <si>
    <t>1. Численность обучающихся в расчете на одного работника образовательной организации, человек.</t>
  </si>
  <si>
    <t>2. Численность обучающихся в расчете на одного педагогического работника, осуществляющего основной учебный процесс (учителя, воспитателя), человек.</t>
  </si>
  <si>
    <t>3. Доля численности педагогических работников, осуществляющих основной учебный процесс (учителя, воспитатели), в общей численности работников образовательной организации, %.</t>
  </si>
  <si>
    <t>Численнсть пед. работников (учитель, восп.)</t>
  </si>
  <si>
    <t>Общяя численнсть работников ОО</t>
  </si>
  <si>
    <t>Численность обучающихся</t>
  </si>
  <si>
    <t>4. Отношение средней месячной заработной платы педагогических работников к среднему доходу от трудовой деятельности в городе Москве, %.</t>
  </si>
  <si>
    <t>Наименование показателей</t>
  </si>
  <si>
    <t>Средняя месячная ЗП пед. Работника ОО</t>
  </si>
  <si>
    <t>Средняя месячная ЗП пед. Работника по Москве</t>
  </si>
  <si>
    <t>5. Отношение объема поступлений от приносящей доход деятельности к объему поступлений из бюджета, %.</t>
  </si>
  <si>
    <t>Поступление от приносящей доход деятельности</t>
  </si>
  <si>
    <t>Объем поступлений из бюджета (26)</t>
  </si>
  <si>
    <t>6. Доля фонда оплаты труда педагогических работников, осуществляющих основной учебный процесс (учителя, воспитатели), в общем фонде оплаты труда работников обазовательной организации, %.</t>
  </si>
  <si>
    <t>ФОТ пед. работников (учителя, воспитатели)</t>
  </si>
  <si>
    <t>Общий ФОТ работников ОО</t>
  </si>
  <si>
    <t>7. Доля фонда оплаты труда административно-управленческого персонала в общем фонде оплаты труда работников образовательной организации,%.</t>
  </si>
  <si>
    <t>ФОТ АУПа</t>
  </si>
  <si>
    <t>01.01.15</t>
  </si>
  <si>
    <t>01.04.2016</t>
  </si>
  <si>
    <t>Наименование ОО (сокращённое)</t>
  </si>
  <si>
    <t>01.04.15</t>
  </si>
  <si>
    <t>01.07.15</t>
  </si>
  <si>
    <t>01.10.15</t>
  </si>
  <si>
    <t>01.01.16</t>
  </si>
  <si>
    <t>01.04.16</t>
  </si>
  <si>
    <t>01.07.16</t>
  </si>
  <si>
    <t>01.10.16</t>
  </si>
  <si>
    <t>01.01.17</t>
  </si>
  <si>
    <t>Номер индикатор</t>
  </si>
  <si>
    <t>Показатель индикатора</t>
  </si>
  <si>
    <t>На какую дату отчет</t>
  </si>
  <si>
    <t>1</t>
  </si>
  <si>
    <t>2</t>
  </si>
  <si>
    <t>3</t>
  </si>
  <si>
    <t>4</t>
  </si>
  <si>
    <t>5</t>
  </si>
  <si>
    <t>6</t>
  </si>
  <si>
    <t>7</t>
  </si>
  <si>
    <t>Показатель целевого индикатора на 2016 год (проект)</t>
  </si>
  <si>
    <t>ГБОУ СОШ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</si>
</sst>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/>
    <xf numFmtId="1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/>
    <xf numFmtId="0" fontId="0" fillId="0" borderId="5" xfId="0" applyBorder="1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49" fontId="0" fillId="2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1. Численность обучающихся в расчете на одного работника образовательной организации, человек.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545627028174431"/>
          <c:y val="0.21565419843371517"/>
          <c:w val="0.79723116767619939"/>
          <c:h val="0.45982189873655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Индикаторы!$B$8</c:f>
              <c:strCache>
                <c:ptCount val="1"/>
                <c:pt idx="0">
                  <c:v>Индикатор №1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Индикаторы!$C$5:$N$5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Индикаторы!$C$8:$N$8</c:f>
              <c:numCache>
                <c:formatCode>0.0</c:formatCode>
                <c:ptCount val="12"/>
                <c:pt idx="0">
                  <c:v>7.2</c:v>
                </c:pt>
                <c:pt idx="1">
                  <c:v>7.2162162162162158</c:v>
                </c:pt>
                <c:pt idx="2">
                  <c:v>7.2282608695652177</c:v>
                </c:pt>
                <c:pt idx="3">
                  <c:v>7.2841530054644812</c:v>
                </c:pt>
                <c:pt idx="4">
                  <c:v>8.1419753086419746</c:v>
                </c:pt>
                <c:pt idx="5">
                  <c:v>8.218249075215784</c:v>
                </c:pt>
                <c:pt idx="6">
                  <c:v>7.6895254629629628</c:v>
                </c:pt>
                <c:pt idx="7">
                  <c:v>8.0711271850512354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8.0711271850512354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15952"/>
        <c:axId val="146018696"/>
      </c:barChart>
      <c:lineChart>
        <c:grouping val="standard"/>
        <c:varyColors val="0"/>
        <c:ser>
          <c:idx val="1"/>
          <c:order val="1"/>
          <c:tx>
            <c:strRef>
              <c:f>Индикаторы!$B$9</c:f>
              <c:strCache>
                <c:ptCount val="1"/>
                <c:pt idx="0">
                  <c:v>Целевой индикатор №1 на 2016 год (проект)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Индикаторы!$C$5:$N$5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Индикаторы!$C$9:$N$9</c:f>
              <c:numCache>
                <c:formatCode>General</c:formatCode>
                <c:ptCount val="12"/>
                <c:pt idx="0">
                  <c:v>8.5</c:v>
                </c:pt>
                <c:pt idx="1">
                  <c:v>8.5</c:v>
                </c:pt>
                <c:pt idx="2">
                  <c:v>8.5</c:v>
                </c:pt>
                <c:pt idx="3">
                  <c:v>8.5</c:v>
                </c:pt>
                <c:pt idx="4">
                  <c:v>8.5</c:v>
                </c:pt>
                <c:pt idx="5">
                  <c:v>8.5</c:v>
                </c:pt>
                <c:pt idx="6">
                  <c:v>8.5</c:v>
                </c:pt>
                <c:pt idx="7">
                  <c:v>8.5</c:v>
                </c:pt>
                <c:pt idx="8">
                  <c:v>8.5</c:v>
                </c:pt>
                <c:pt idx="9">
                  <c:v>8.5</c:v>
                </c:pt>
                <c:pt idx="10">
                  <c:v>8.5</c:v>
                </c:pt>
                <c:pt idx="11">
                  <c:v>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15952"/>
        <c:axId val="146018696"/>
      </c:lineChart>
      <c:catAx>
        <c:axId val="14601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18696"/>
        <c:crosses val="autoZero"/>
        <c:auto val="1"/>
        <c:lblAlgn val="ctr"/>
        <c:lblOffset val="100"/>
        <c:noMultiLvlLbl val="0"/>
      </c:catAx>
      <c:valAx>
        <c:axId val="146018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15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2. Численность обучающихся в расчете на одного педагогического работника, осуществляющего основной учебный процесс (учителя, воспитателя), человек.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545627028174431"/>
          <c:y val="0.21565419843371517"/>
          <c:w val="0.79723116767619939"/>
          <c:h val="0.45982189873655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Индикаторы!$B$15</c:f>
              <c:strCache>
                <c:ptCount val="1"/>
                <c:pt idx="0">
                  <c:v>Индикатор №2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Индикаторы!$C$5:$N$5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Индикаторы!$C$15:$N$15</c:f>
              <c:numCache>
                <c:formatCode>0.0</c:formatCode>
                <c:ptCount val="12"/>
                <c:pt idx="0">
                  <c:v>10.9</c:v>
                </c:pt>
                <c:pt idx="1">
                  <c:v>10.9</c:v>
                </c:pt>
                <c:pt idx="2">
                  <c:v>10.700000000000001</c:v>
                </c:pt>
                <c:pt idx="3">
                  <c:v>10.8</c:v>
                </c:pt>
                <c:pt idx="4">
                  <c:v>15.3</c:v>
                </c:pt>
                <c:pt idx="5">
                  <c:v>15.600000000000001</c:v>
                </c:pt>
                <c:pt idx="6">
                  <c:v>12.700000000000001</c:v>
                </c:pt>
                <c:pt idx="7">
                  <c:v>15.600000000000001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15.600000000000001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07336"/>
        <c:axId val="153403416"/>
      </c:barChart>
      <c:lineChart>
        <c:grouping val="standard"/>
        <c:varyColors val="0"/>
        <c:ser>
          <c:idx val="1"/>
          <c:order val="1"/>
          <c:tx>
            <c:strRef>
              <c:f>Индикаторы!$B$16</c:f>
              <c:strCache>
                <c:ptCount val="1"/>
                <c:pt idx="0">
                  <c:v>Целевой индикатор №2 на 2016 год (проект)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Индикаторы!$C$5:$N$5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Индикаторы!$C$16:$N$16</c:f>
              <c:numCache>
                <c:formatCode>General</c:formatCode>
                <c:ptCount val="12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15.5</c:v>
                </c:pt>
                <c:pt idx="7">
                  <c:v>15.5</c:v>
                </c:pt>
                <c:pt idx="8">
                  <c:v>15.5</c:v>
                </c:pt>
                <c:pt idx="9">
                  <c:v>15.5</c:v>
                </c:pt>
                <c:pt idx="10">
                  <c:v>15.5</c:v>
                </c:pt>
                <c:pt idx="11">
                  <c:v>15.5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7336"/>
        <c:axId val="153403416"/>
      </c:lineChart>
      <c:catAx>
        <c:axId val="15340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403416"/>
        <c:crosses val="autoZero"/>
        <c:auto val="1"/>
        <c:lblAlgn val="ctr"/>
        <c:lblOffset val="100"/>
        <c:noMultiLvlLbl val="0"/>
      </c:catAx>
      <c:valAx>
        <c:axId val="15340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407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3. Доля численности педагогических работников, осуществляющих основной учебный процесс (учителя, воспитатели), в общей численности работников образовательной организации, %.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545627028174431"/>
          <c:y val="0.21565419843371517"/>
          <c:w val="0.79723116767619939"/>
          <c:h val="0.45982189873655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Индикаторы!$B$22</c:f>
              <c:strCache>
                <c:ptCount val="1"/>
                <c:pt idx="0">
                  <c:v>Индикатор №3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Индикаторы!$C$19:$N$19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Индикаторы!$C$22:$N$22</c:f>
              <c:numCache>
                <c:formatCode>0.0</c:formatCode>
                <c:ptCount val="12"/>
                <c:pt idx="0">
                  <c:v>66.5</c:v>
                </c:pt>
                <c:pt idx="1">
                  <c:v>66.5</c:v>
                </c:pt>
                <c:pt idx="2">
                  <c:v>67.400000000000006</c:v>
                </c:pt>
                <c:pt idx="3">
                  <c:v>67.2</c:v>
                </c:pt>
                <c:pt idx="4">
                  <c:v>53.1</c:v>
                </c:pt>
                <c:pt idx="5">
                  <c:v>52.800000000000004</c:v>
                </c:pt>
                <c:pt idx="6">
                  <c:v>60.6</c:v>
                </c:pt>
                <c:pt idx="7">
                  <c:v>51.6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05376"/>
        <c:axId val="153402240"/>
      </c:barChart>
      <c:lineChart>
        <c:grouping val="standard"/>
        <c:varyColors val="0"/>
        <c:ser>
          <c:idx val="1"/>
          <c:order val="1"/>
          <c:tx>
            <c:strRef>
              <c:f>Индикаторы!$B$23</c:f>
              <c:strCache>
                <c:ptCount val="1"/>
                <c:pt idx="0">
                  <c:v>Целевой индикатор №3 на 2016 год (проект)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Индикаторы!$C$19:$N$19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Индикаторы!$C$23:$N$23</c:f>
              <c:numCache>
                <c:formatCode>General</c:formatCode>
                <c:ptCount val="12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5376"/>
        <c:axId val="153402240"/>
      </c:lineChart>
      <c:catAx>
        <c:axId val="15340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402240"/>
        <c:crosses val="autoZero"/>
        <c:auto val="1"/>
        <c:lblAlgn val="ctr"/>
        <c:lblOffset val="100"/>
        <c:noMultiLvlLbl val="0"/>
      </c:catAx>
      <c:valAx>
        <c:axId val="15340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405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4. Отношение средней месячной заработной платы педагогических работников к среднему доходу от трудовой деятельности в городе Москве, %.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545627028174431"/>
          <c:y val="0.21565419843371517"/>
          <c:w val="0.79723116767619939"/>
          <c:h val="0.45982189873655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Индикаторы!$B$29</c:f>
              <c:strCache>
                <c:ptCount val="1"/>
                <c:pt idx="0">
                  <c:v>Индикатор №4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Индикаторы!$C$26:$N$26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Индикаторы!$C$29:$N$29</c:f>
              <c:numCache>
                <c:formatCode>0.0</c:formatCode>
                <c:ptCount val="12"/>
                <c:pt idx="0">
                  <c:v>112.9</c:v>
                </c:pt>
                <c:pt idx="1">
                  <c:v>112.9</c:v>
                </c:pt>
                <c:pt idx="2">
                  <c:v>78.600000000000009</c:v>
                </c:pt>
                <c:pt idx="3">
                  <c:v>86.4</c:v>
                </c:pt>
                <c:pt idx="4">
                  <c:v>130.70000000000002</c:v>
                </c:pt>
                <c:pt idx="5">
                  <c:v>138.80000000000001</c:v>
                </c:pt>
                <c:pt idx="6">
                  <c:v>108.60000000000001</c:v>
                </c:pt>
                <c:pt idx="7">
                  <c:v>107.80000000000001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107.80000000000001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08512"/>
        <c:axId val="153406160"/>
      </c:barChart>
      <c:lineChart>
        <c:grouping val="standard"/>
        <c:varyColors val="0"/>
        <c:ser>
          <c:idx val="1"/>
          <c:order val="1"/>
          <c:tx>
            <c:strRef>
              <c:f>Индикаторы!$B$30</c:f>
              <c:strCache>
                <c:ptCount val="1"/>
                <c:pt idx="0">
                  <c:v>Целевой индикатор №4 на 2016 год (проект)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Индикаторы!$C$26:$N$26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Индикаторы!$C$30:$N$30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8512"/>
        <c:axId val="153406160"/>
      </c:lineChart>
      <c:catAx>
        <c:axId val="1534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406160"/>
        <c:crosses val="autoZero"/>
        <c:auto val="1"/>
        <c:lblAlgn val="ctr"/>
        <c:lblOffset val="100"/>
        <c:noMultiLvlLbl val="0"/>
      </c:catAx>
      <c:valAx>
        <c:axId val="15340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4085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5. Отношение объема поступлений от приносящей доход деятельности к объему поступлений из бюджета, %.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545627028174431"/>
          <c:y val="0.21565419843371517"/>
          <c:w val="0.79723116767619939"/>
          <c:h val="0.45982189873655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Индикаторы!$B$36</c:f>
              <c:strCache>
                <c:ptCount val="1"/>
                <c:pt idx="0">
                  <c:v>Индикатор №5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Индикаторы!$C$33:$N$33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Индикаторы!$C$36:$N$36</c:f>
              <c:numCache>
                <c:formatCode>0.0</c:formatCode>
                <c:ptCount val="12"/>
                <c:pt idx="0">
                  <c:v>3.5</c:v>
                </c:pt>
                <c:pt idx="1">
                  <c:v>3.5</c:v>
                </c:pt>
                <c:pt idx="2">
                  <c:v>5.7</c:v>
                </c:pt>
                <c:pt idx="3">
                  <c:v>4.5</c:v>
                </c:pt>
                <c:pt idx="4">
                  <c:v>3.1</c:v>
                </c:pt>
                <c:pt idx="5">
                  <c:v>4.8000000000000007</c:v>
                </c:pt>
                <c:pt idx="6">
                  <c:v>4.8000000000000007</c:v>
                </c:pt>
                <c:pt idx="7">
                  <c:v>9.5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04200"/>
        <c:axId val="153404984"/>
      </c:barChart>
      <c:lineChart>
        <c:grouping val="standard"/>
        <c:varyColors val="0"/>
        <c:ser>
          <c:idx val="1"/>
          <c:order val="1"/>
          <c:tx>
            <c:strRef>
              <c:f>Индикаторы!$B$37</c:f>
              <c:strCache>
                <c:ptCount val="1"/>
                <c:pt idx="0">
                  <c:v>Целевой индикатор №5 на 2016 год (проект)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Индикаторы!$C$33:$N$33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Индикаторы!$C$37:$N$37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4200"/>
        <c:axId val="153404984"/>
      </c:lineChart>
      <c:catAx>
        <c:axId val="15340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404984"/>
        <c:crosses val="autoZero"/>
        <c:auto val="1"/>
        <c:lblAlgn val="ctr"/>
        <c:lblOffset val="100"/>
        <c:noMultiLvlLbl val="0"/>
      </c:catAx>
      <c:valAx>
        <c:axId val="15340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404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6. Доля фонда оплаты труда педагогических работников, осуществляющих основной учебный процесс (учителя, воспитатели), в общем фонде оплаты труда работников обазовательной организации, %.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545627028174431"/>
          <c:y val="0.21565419843371517"/>
          <c:w val="0.79723116767619939"/>
          <c:h val="0.45982189873655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Индикаторы!$B$43</c:f>
              <c:strCache>
                <c:ptCount val="1"/>
                <c:pt idx="0">
                  <c:v>Индикатор №6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Индикаторы!$C$40:$N$40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Индикаторы!$C$43:$N$43</c:f>
              <c:numCache>
                <c:formatCode>0.0</c:formatCode>
                <c:ptCount val="12"/>
                <c:pt idx="0">
                  <c:v>54.2</c:v>
                </c:pt>
                <c:pt idx="1">
                  <c:v>54.2</c:v>
                </c:pt>
                <c:pt idx="2">
                  <c:v>56</c:v>
                </c:pt>
                <c:pt idx="3">
                  <c:v>67.7</c:v>
                </c:pt>
                <c:pt idx="4">
                  <c:v>59.7</c:v>
                </c:pt>
                <c:pt idx="5">
                  <c:v>59</c:v>
                </c:pt>
                <c:pt idx="6">
                  <c:v>61.2</c:v>
                </c:pt>
                <c:pt idx="7">
                  <c:v>56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630816"/>
        <c:axId val="153631600"/>
      </c:barChart>
      <c:lineChart>
        <c:grouping val="standard"/>
        <c:varyColors val="0"/>
        <c:ser>
          <c:idx val="1"/>
          <c:order val="1"/>
          <c:tx>
            <c:strRef>
              <c:f>Индикаторы!$B$44</c:f>
              <c:strCache>
                <c:ptCount val="1"/>
                <c:pt idx="0">
                  <c:v>Целевой индикатор №6 на 2016 год (проект)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Индикаторы!$C$40:$N$40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Индикаторы!$C$44:$N$44</c:f>
              <c:numCache>
                <c:formatCode>General</c:formatCode>
                <c:ptCount val="12"/>
                <c:pt idx="0">
                  <c:v>61</c:v>
                </c:pt>
                <c:pt idx="1">
                  <c:v>61</c:v>
                </c:pt>
                <c:pt idx="2">
                  <c:v>61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0816"/>
        <c:axId val="153631600"/>
      </c:lineChart>
      <c:catAx>
        <c:axId val="15363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631600"/>
        <c:crosses val="autoZero"/>
        <c:auto val="1"/>
        <c:lblAlgn val="ctr"/>
        <c:lblOffset val="100"/>
        <c:noMultiLvlLbl val="0"/>
      </c:catAx>
      <c:valAx>
        <c:axId val="15363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630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7. Доля фонда оплаты труда административно-управленческого персонала в общем фонде оплаты труда работников образовательной организации,%.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545627028174431"/>
          <c:y val="0.21565419843371517"/>
          <c:w val="0.79723116767619939"/>
          <c:h val="0.45982189873655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Индикаторы!$B$50</c:f>
              <c:strCache>
                <c:ptCount val="1"/>
                <c:pt idx="0">
                  <c:v>Индикатор №7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Индикаторы!$C$47:$N$47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Индикаторы!$C$50:$N$50</c:f>
              <c:numCache>
                <c:formatCode>0.0</c:formatCode>
                <c:ptCount val="12"/>
                <c:pt idx="0">
                  <c:v>10.700000000000001</c:v>
                </c:pt>
                <c:pt idx="1">
                  <c:v>10.700000000000001</c:v>
                </c:pt>
                <c:pt idx="2">
                  <c:v>4.9000000000000004</c:v>
                </c:pt>
                <c:pt idx="3">
                  <c:v>4.4000000000000004</c:v>
                </c:pt>
                <c:pt idx="4">
                  <c:v>4.1000000000000005</c:v>
                </c:pt>
                <c:pt idx="5">
                  <c:v>4.1000000000000005</c:v>
                </c:pt>
                <c:pt idx="6">
                  <c:v>4.3</c:v>
                </c:pt>
                <c:pt idx="7">
                  <c:v>5.8000000000000007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628856"/>
        <c:axId val="153629248"/>
      </c:barChart>
      <c:lineChart>
        <c:grouping val="standard"/>
        <c:varyColors val="0"/>
        <c:ser>
          <c:idx val="1"/>
          <c:order val="1"/>
          <c:tx>
            <c:strRef>
              <c:f>Индикаторы!$B$51</c:f>
              <c:strCache>
                <c:ptCount val="1"/>
                <c:pt idx="0">
                  <c:v>Целевой индикатор №7 на 2016 год (проект)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Индикаторы!$C$47:$N$47</c:f>
              <c:strCache>
                <c:ptCount val="12"/>
                <c:pt idx="0">
                  <c:v>01.01.15</c:v>
                </c:pt>
                <c:pt idx="1">
                  <c:v>2014</c:v>
                </c:pt>
                <c:pt idx="2">
                  <c:v>01.04.15</c:v>
                </c:pt>
                <c:pt idx="3">
                  <c:v>01.07.15</c:v>
                </c:pt>
                <c:pt idx="4">
                  <c:v>01.10.15</c:v>
                </c:pt>
                <c:pt idx="5">
                  <c:v>01.01.16</c:v>
                </c:pt>
                <c:pt idx="6">
                  <c:v>2015</c:v>
                </c:pt>
                <c:pt idx="7">
                  <c:v>01.04.16</c:v>
                </c:pt>
                <c:pt idx="8">
                  <c:v>01.07.16</c:v>
                </c:pt>
                <c:pt idx="9">
                  <c:v>01.10.16</c:v>
                </c:pt>
                <c:pt idx="10">
                  <c:v>01.01.17</c:v>
                </c:pt>
                <c:pt idx="11">
                  <c:v>2016</c:v>
                </c:pt>
              </c:strCache>
            </c:strRef>
          </c:cat>
          <c:val>
            <c:numRef>
              <c:f>Индикаторы!$C$51:$N$51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28856"/>
        <c:axId val="153629248"/>
      </c:lineChart>
      <c:catAx>
        <c:axId val="15362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629248"/>
        <c:crosses val="autoZero"/>
        <c:auto val="1"/>
        <c:lblAlgn val="ctr"/>
        <c:lblOffset val="100"/>
        <c:noMultiLvlLbl val="0"/>
      </c:catAx>
      <c:valAx>
        <c:axId val="15362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628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Итоговый анализ индикаторов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545627028174431"/>
          <c:y val="0.21565419843371517"/>
          <c:w val="0.79723116767619939"/>
          <c:h val="0.45982189873655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Индикаторы!$B$54</c:f>
              <c:strCache>
                <c:ptCount val="1"/>
                <c:pt idx="0">
                  <c:v>Показатель индикатора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Индикаторы!$C$53:$I$53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strCache>
            </c:strRef>
          </c:cat>
          <c:val>
            <c:numRef>
              <c:f>Индикаторы!$C$54:$I$54</c:f>
              <c:numCache>
                <c:formatCode>0.0</c:formatCode>
                <c:ptCount val="7"/>
                <c:pt idx="0">
                  <c:v>8.0711271850512354</c:v>
                </c:pt>
                <c:pt idx="1">
                  <c:v>15.600000000000001</c:v>
                </c:pt>
                <c:pt idx="2">
                  <c:v>51.6</c:v>
                </c:pt>
                <c:pt idx="3">
                  <c:v>107.80000000000001</c:v>
                </c:pt>
                <c:pt idx="4">
                  <c:v>9.5</c:v>
                </c:pt>
                <c:pt idx="5">
                  <c:v>56</c:v>
                </c:pt>
                <c:pt idx="6">
                  <c:v>5.8000000000000007</c:v>
                </c:pt>
              </c:numCache>
            </c:numRef>
          </c:val>
        </c:ser>
        <c:ser>
          <c:idx val="1"/>
          <c:order val="1"/>
          <c:tx>
            <c:strRef>
              <c:f>Индикаторы!$B$55</c:f>
              <c:strCache>
                <c:ptCount val="1"/>
                <c:pt idx="0">
                  <c:v>Показатель целевого индикатора на 2016 год (проект)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Индикаторы!$C$55:$I$55</c:f>
              <c:numCache>
                <c:formatCode>General</c:formatCode>
                <c:ptCount val="7"/>
                <c:pt idx="0">
                  <c:v>8.5</c:v>
                </c:pt>
                <c:pt idx="1">
                  <c:v>15.5</c:v>
                </c:pt>
                <c:pt idx="2">
                  <c:v>55</c:v>
                </c:pt>
                <c:pt idx="3">
                  <c:v>100</c:v>
                </c:pt>
                <c:pt idx="4">
                  <c:v>10</c:v>
                </c:pt>
                <c:pt idx="5">
                  <c:v>61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3630424"/>
        <c:axId val="153631208"/>
      </c:barChart>
      <c:catAx>
        <c:axId val="15363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631208"/>
        <c:crosses val="autoZero"/>
        <c:auto val="1"/>
        <c:lblAlgn val="ctr"/>
        <c:lblOffset val="100"/>
        <c:noMultiLvlLbl val="0"/>
      </c:catAx>
      <c:valAx>
        <c:axId val="15363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630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9524</xdr:rowOff>
    </xdr:from>
    <xdr:to>
      <xdr:col>16</xdr:col>
      <xdr:colOff>0</xdr:colOff>
      <xdr:row>19</xdr:row>
      <xdr:rowOff>180975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9525</xdr:rowOff>
    </xdr:from>
    <xdr:to>
      <xdr:col>16</xdr:col>
      <xdr:colOff>0</xdr:colOff>
      <xdr:row>36</xdr:row>
      <xdr:rowOff>180976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0</xdr:colOff>
      <xdr:row>58</xdr:row>
      <xdr:rowOff>9525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16</xdr:col>
      <xdr:colOff>0</xdr:colOff>
      <xdr:row>74</xdr:row>
      <xdr:rowOff>171451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16</xdr:col>
      <xdr:colOff>0</xdr:colOff>
      <xdr:row>91</xdr:row>
      <xdr:rowOff>171451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93</xdr:row>
      <xdr:rowOff>0</xdr:rowOff>
    </xdr:from>
    <xdr:to>
      <xdr:col>16</xdr:col>
      <xdr:colOff>0</xdr:colOff>
      <xdr:row>113</xdr:row>
      <xdr:rowOff>9525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114</xdr:row>
      <xdr:rowOff>0</xdr:rowOff>
    </xdr:from>
    <xdr:to>
      <xdr:col>16</xdr:col>
      <xdr:colOff>0</xdr:colOff>
      <xdr:row>129</xdr:row>
      <xdr:rowOff>171451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16</xdr:col>
      <xdr:colOff>0</xdr:colOff>
      <xdr:row>146</xdr:row>
      <xdr:rowOff>171451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zoomScaleNormal="100" workbookViewId="0">
      <selection sqref="A1:P3"/>
    </sheetView>
  </sheetViews>
  <sheetFormatPr defaultRowHeight="15" x14ac:dyDescent="0.25"/>
  <sheetData>
    <row r="1" spans="1:16" ht="15" customHeight="1" x14ac:dyDescent="0.25">
      <c r="A1" s="18" t="str">
        <f>CONCATENATE("Анализ по целевым индикаторам ",Индикаторы!$C$1," на 2014-2016 год"," на ",Индикаторы!C2," год.")</f>
        <v>Анализ по целевым индикаторам ГБОУ СОШ 1 на 2014-2016 год на 01.04.2016 год.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</sheetData>
  <sheetProtection algorithmName="SHA-512" hashValue="SbpZa0GuirE3Isi0BpI7EKf8C3QPGNCAHuIWz4hfCBr5aINUJ1ixfipxU2kU5urC5XjTd58vqV1/0fX8DtBNLw==" saltValue="C0U93gBdSZ3esB8lRtCXfA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1:P3"/>
  </mergeCells>
  <pageMargins left="0.25" right="0.25" top="0.75" bottom="0.75" header="0.3" footer="0.3"/>
  <pageSetup paperSize="9" scale="88" fitToHeight="0" orientation="landscape" r:id="rId1"/>
  <rowBreaks count="3" manualBreakCount="3">
    <brk id="37" max="15" man="1"/>
    <brk id="75" max="15" man="1"/>
    <brk id="113" max="15" man="1"/>
  </rowBreaks>
  <colBreaks count="1" manualBreakCount="1">
    <brk id="16" max="1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C2" sqref="C2"/>
    </sheetView>
  </sheetViews>
  <sheetFormatPr defaultRowHeight="15" outlineLevelCol="1" x14ac:dyDescent="0.25"/>
  <cols>
    <col min="2" max="2" width="50.85546875" customWidth="1"/>
    <col min="3" max="3" width="10.5703125" bestFit="1" customWidth="1"/>
    <col min="4" max="4" width="10.140625" customWidth="1"/>
    <col min="5" max="6" width="10.5703125" bestFit="1" customWidth="1"/>
    <col min="7" max="8" width="10.140625" bestFit="1" customWidth="1"/>
    <col min="9" max="9" width="10.140625" customWidth="1"/>
    <col min="10" max="10" width="10.140625" bestFit="1" customWidth="1"/>
    <col min="11" max="12" width="10.140625" customWidth="1" outlineLevel="1"/>
    <col min="13" max="13" width="10.85546875" customWidth="1" outlineLevel="1"/>
  </cols>
  <sheetData>
    <row r="1" spans="1:14" x14ac:dyDescent="0.25">
      <c r="A1" s="23" t="s">
        <v>22</v>
      </c>
      <c r="B1" s="23"/>
      <c r="C1" s="24" t="s">
        <v>42</v>
      </c>
      <c r="D1" s="24"/>
      <c r="E1" s="2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5">
      <c r="A2" s="23" t="s">
        <v>33</v>
      </c>
      <c r="B2" s="23"/>
      <c r="C2" s="17" t="s">
        <v>21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3"/>
      <c r="B3" s="13"/>
    </row>
    <row r="4" spans="1:14" x14ac:dyDescent="0.25">
      <c r="A4" s="1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x14ac:dyDescent="0.25">
      <c r="A5" s="22">
        <v>1</v>
      </c>
      <c r="B5" s="2" t="s">
        <v>9</v>
      </c>
      <c r="C5" s="3" t="s">
        <v>20</v>
      </c>
      <c r="D5" s="3" t="s">
        <v>1</v>
      </c>
      <c r="E5" s="3" t="s">
        <v>23</v>
      </c>
      <c r="F5" s="3" t="s">
        <v>24</v>
      </c>
      <c r="G5" s="3" t="s">
        <v>25</v>
      </c>
      <c r="H5" s="3" t="s">
        <v>26</v>
      </c>
      <c r="I5" s="3">
        <v>2015</v>
      </c>
      <c r="J5" s="3" t="s">
        <v>27</v>
      </c>
      <c r="K5" s="3" t="s">
        <v>28</v>
      </c>
      <c r="L5" s="3" t="s">
        <v>29</v>
      </c>
      <c r="M5" s="3" t="s">
        <v>30</v>
      </c>
      <c r="N5" s="3" t="s">
        <v>0</v>
      </c>
    </row>
    <row r="6" spans="1:14" x14ac:dyDescent="0.25">
      <c r="A6" s="22"/>
      <c r="B6" s="2" t="s">
        <v>7</v>
      </c>
      <c r="C6" s="4">
        <v>1335</v>
      </c>
      <c r="D6" s="5">
        <f t="shared" ref="D6:D7" si="0">C6</f>
        <v>1335</v>
      </c>
      <c r="E6" s="4">
        <v>1330</v>
      </c>
      <c r="F6" s="4">
        <v>1333</v>
      </c>
      <c r="G6" s="4">
        <v>1319</v>
      </c>
      <c r="H6" s="4">
        <v>1333</v>
      </c>
      <c r="I6" s="5">
        <f>IFERROR(SUM(E6:H6)/COUNT(E6:H6),0)</f>
        <v>1328.75</v>
      </c>
      <c r="J6" s="4">
        <v>1339</v>
      </c>
      <c r="K6" s="4"/>
      <c r="L6" s="4"/>
      <c r="M6" s="4"/>
      <c r="N6" s="5">
        <f>IFERROR(SUM(J6:M6)/COUNT(J6:M6),0)</f>
        <v>1339</v>
      </c>
    </row>
    <row r="7" spans="1:14" x14ac:dyDescent="0.25">
      <c r="A7" s="22"/>
      <c r="B7" s="2" t="s">
        <v>6</v>
      </c>
      <c r="C7" s="11">
        <v>185</v>
      </c>
      <c r="D7" s="8">
        <f t="shared" si="0"/>
        <v>185</v>
      </c>
      <c r="E7" s="11">
        <v>184</v>
      </c>
      <c r="F7" s="11">
        <v>183</v>
      </c>
      <c r="G7" s="11">
        <v>162</v>
      </c>
      <c r="H7" s="11">
        <v>162.19999999999999</v>
      </c>
      <c r="I7" s="8">
        <f>IFERROR(SUM(E7:H7)/COUNT(E7:H7),0)</f>
        <v>172.8</v>
      </c>
      <c r="J7" s="11">
        <v>165.9</v>
      </c>
      <c r="K7" s="11"/>
      <c r="L7" s="11"/>
      <c r="M7" s="11"/>
      <c r="N7" s="8">
        <f>IFERROR(SUM(J7:M7)/COUNT(J7:M7),0)</f>
        <v>165.9</v>
      </c>
    </row>
    <row r="8" spans="1:14" s="10" customFormat="1" x14ac:dyDescent="0.25">
      <c r="A8" s="22"/>
      <c r="B8" s="9" t="str">
        <f>CONCATENATE("Индикатор ","№",A5)</f>
        <v>Индикатор №1</v>
      </c>
      <c r="C8" s="6">
        <f>IFERROR(MROUND(C6/C7,0.1),"-")</f>
        <v>7.2</v>
      </c>
      <c r="D8" s="6">
        <f>IFERROR(D6/D7,"-")</f>
        <v>7.2162162162162158</v>
      </c>
      <c r="E8" s="6">
        <f>IFERROR(E6/E7,"-")</f>
        <v>7.2282608695652177</v>
      </c>
      <c r="F8" s="6">
        <f t="shared" ref="F8:G8" si="1">IFERROR(F6/F7,"-")</f>
        <v>7.2841530054644812</v>
      </c>
      <c r="G8" s="6">
        <f t="shared" si="1"/>
        <v>8.1419753086419746</v>
      </c>
      <c r="H8" s="6">
        <f>IFERROR(H6/H7,"-")</f>
        <v>8.218249075215784</v>
      </c>
      <c r="I8" s="6">
        <f>IFERROR(I6/I7,"-")</f>
        <v>7.6895254629629628</v>
      </c>
      <c r="J8" s="6">
        <f t="shared" ref="J8" si="2">IFERROR(J6/J7,"-")</f>
        <v>8.0711271850512354</v>
      </c>
      <c r="K8" s="6" t="str">
        <f t="shared" ref="K8" si="3">IFERROR(K6/K7,"-")</f>
        <v>-</v>
      </c>
      <c r="L8" s="6" t="str">
        <f t="shared" ref="L8" si="4">IFERROR(L6/L7,"-")</f>
        <v>-</v>
      </c>
      <c r="M8" s="6" t="str">
        <f t="shared" ref="M8:N8" si="5">IFERROR(M6/M7,"-")</f>
        <v>-</v>
      </c>
      <c r="N8" s="6">
        <f t="shared" si="5"/>
        <v>8.0711271850512354</v>
      </c>
    </row>
    <row r="9" spans="1:14" x14ac:dyDescent="0.25">
      <c r="A9" s="22"/>
      <c r="B9" s="12" t="str">
        <f>CONCATENATE("Целевой индикатор №",A5," на 2016 год (проект)")</f>
        <v>Целевой индикатор №1 на 2016 год (проект)</v>
      </c>
      <c r="C9" s="30">
        <v>8.5</v>
      </c>
      <c r="D9" s="7">
        <f>C9</f>
        <v>8.5</v>
      </c>
      <c r="E9" s="30">
        <v>8.5</v>
      </c>
      <c r="F9" s="30">
        <v>8.5</v>
      </c>
      <c r="G9" s="30">
        <v>8.5</v>
      </c>
      <c r="H9" s="30">
        <v>8.5</v>
      </c>
      <c r="I9" s="7">
        <f>SUM(E9:H9)/4</f>
        <v>8.5</v>
      </c>
      <c r="J9" s="30">
        <v>8.5</v>
      </c>
      <c r="K9" s="30">
        <v>8.5</v>
      </c>
      <c r="L9" s="30">
        <v>8.5</v>
      </c>
      <c r="M9" s="30">
        <v>8.5</v>
      </c>
      <c r="N9" s="7">
        <f>SUM(J9:M9)/4</f>
        <v>8.5</v>
      </c>
    </row>
    <row r="11" spans="1:14" x14ac:dyDescent="0.25">
      <c r="A11" s="19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</row>
    <row r="12" spans="1:14" x14ac:dyDescent="0.25">
      <c r="A12" s="22">
        <f>A5+1</f>
        <v>2</v>
      </c>
      <c r="B12" s="2" t="s">
        <v>9</v>
      </c>
      <c r="C12" s="3" t="s">
        <v>20</v>
      </c>
      <c r="D12" s="3" t="s">
        <v>1</v>
      </c>
      <c r="E12" s="3" t="s">
        <v>23</v>
      </c>
      <c r="F12" s="3" t="s">
        <v>24</v>
      </c>
      <c r="G12" s="3" t="s">
        <v>25</v>
      </c>
      <c r="H12" s="3" t="s">
        <v>26</v>
      </c>
      <c r="I12" s="3">
        <v>2015</v>
      </c>
      <c r="J12" s="3" t="s">
        <v>27</v>
      </c>
      <c r="K12" s="3" t="s">
        <v>28</v>
      </c>
      <c r="L12" s="3" t="s">
        <v>29</v>
      </c>
      <c r="M12" s="3" t="s">
        <v>30</v>
      </c>
      <c r="N12" s="3" t="s">
        <v>0</v>
      </c>
    </row>
    <row r="13" spans="1:14" x14ac:dyDescent="0.25">
      <c r="A13" s="22"/>
      <c r="B13" s="2" t="s">
        <v>7</v>
      </c>
      <c r="C13" s="7">
        <f>IF(C6&gt;0,C6,"-")</f>
        <v>1335</v>
      </c>
      <c r="D13" s="5">
        <f t="shared" ref="D13:D14" si="6">C13</f>
        <v>1335</v>
      </c>
      <c r="E13" s="7">
        <f t="shared" ref="E13:H13" si="7">IF(E6&gt;0,E6,"-")</f>
        <v>1330</v>
      </c>
      <c r="F13" s="7">
        <f t="shared" si="7"/>
        <v>1333</v>
      </c>
      <c r="G13" s="7">
        <f t="shared" si="7"/>
        <v>1319</v>
      </c>
      <c r="H13" s="7">
        <f t="shared" si="7"/>
        <v>1333</v>
      </c>
      <c r="I13" s="7">
        <f>IFERROR(SUM(E13:H13)/COUNT(E13:H13),0)</f>
        <v>1328.75</v>
      </c>
      <c r="J13" s="7">
        <f t="shared" ref="J13:M13" si="8">IF(J6&gt;0,J6,"-")</f>
        <v>1339</v>
      </c>
      <c r="K13" s="7" t="str">
        <f t="shared" si="8"/>
        <v>-</v>
      </c>
      <c r="L13" s="7" t="str">
        <f t="shared" si="8"/>
        <v>-</v>
      </c>
      <c r="M13" s="7" t="str">
        <f t="shared" si="8"/>
        <v>-</v>
      </c>
      <c r="N13" s="5">
        <f>IFERROR(SUM(J13:M13)/COUNT(J13:M13),0)</f>
        <v>1339</v>
      </c>
    </row>
    <row r="14" spans="1:14" x14ac:dyDescent="0.25">
      <c r="A14" s="22"/>
      <c r="B14" s="2" t="s">
        <v>5</v>
      </c>
      <c r="C14" s="11">
        <v>123</v>
      </c>
      <c r="D14" s="8">
        <f t="shared" si="6"/>
        <v>123</v>
      </c>
      <c r="E14" s="11">
        <v>124</v>
      </c>
      <c r="F14" s="11">
        <v>123</v>
      </c>
      <c r="G14" s="11">
        <v>86</v>
      </c>
      <c r="H14" s="11">
        <f>48.6+37</f>
        <v>85.6</v>
      </c>
      <c r="I14" s="8">
        <f>IFERROR(SUM(E14:H14)/COUNT(E14:H14),0)</f>
        <v>104.65</v>
      </c>
      <c r="J14" s="11">
        <f>48.6+37</f>
        <v>85.6</v>
      </c>
      <c r="K14" s="11"/>
      <c r="L14" s="11"/>
      <c r="M14" s="11"/>
      <c r="N14" s="8">
        <f>IFERROR(SUM(J14:M14)/COUNT(J14:M14),0)</f>
        <v>85.6</v>
      </c>
    </row>
    <row r="15" spans="1:14" s="10" customFormat="1" x14ac:dyDescent="0.25">
      <c r="A15" s="22"/>
      <c r="B15" s="9" t="str">
        <f>CONCATENATE("Индикатор ","№",A12)</f>
        <v>Индикатор №2</v>
      </c>
      <c r="C15" s="6">
        <f>IFERROR(MROUND(C13/C14,0.1),"-")</f>
        <v>10.9</v>
      </c>
      <c r="D15" s="6">
        <f t="shared" ref="D15:N15" si="9">IFERROR(MROUND(D13/D14,0.1),"-")</f>
        <v>10.9</v>
      </c>
      <c r="E15" s="6">
        <f t="shared" si="9"/>
        <v>10.700000000000001</v>
      </c>
      <c r="F15" s="6">
        <f t="shared" si="9"/>
        <v>10.8</v>
      </c>
      <c r="G15" s="6">
        <f t="shared" si="9"/>
        <v>15.3</v>
      </c>
      <c r="H15" s="6">
        <f t="shared" si="9"/>
        <v>15.600000000000001</v>
      </c>
      <c r="I15" s="6">
        <f t="shared" si="9"/>
        <v>12.700000000000001</v>
      </c>
      <c r="J15" s="6">
        <f t="shared" si="9"/>
        <v>15.600000000000001</v>
      </c>
      <c r="K15" s="6" t="str">
        <f t="shared" si="9"/>
        <v>-</v>
      </c>
      <c r="L15" s="6" t="str">
        <f t="shared" si="9"/>
        <v>-</v>
      </c>
      <c r="M15" s="6" t="str">
        <f t="shared" si="9"/>
        <v>-</v>
      </c>
      <c r="N15" s="6">
        <f t="shared" si="9"/>
        <v>15.600000000000001</v>
      </c>
    </row>
    <row r="16" spans="1:14" x14ac:dyDescent="0.25">
      <c r="A16" s="22"/>
      <c r="B16" s="12" t="str">
        <f>CONCATENATE("Целевой индикатор №",A12," на 2016 год (проект)")</f>
        <v>Целевой индикатор №2 на 2016 год (проект)</v>
      </c>
      <c r="C16" s="30">
        <v>15.5</v>
      </c>
      <c r="D16" s="7">
        <f>C16</f>
        <v>15.5</v>
      </c>
      <c r="E16" s="30">
        <v>15.5</v>
      </c>
      <c r="F16" s="30">
        <v>15.5</v>
      </c>
      <c r="G16" s="30">
        <v>15.5</v>
      </c>
      <c r="H16" s="30">
        <v>15.5</v>
      </c>
      <c r="I16" s="7">
        <f>SUM(E16:H16)/4</f>
        <v>15.5</v>
      </c>
      <c r="J16" s="30">
        <v>15.5</v>
      </c>
      <c r="K16" s="30">
        <v>15.5</v>
      </c>
      <c r="L16" s="30">
        <v>15.5</v>
      </c>
      <c r="M16" s="30">
        <v>15.5</v>
      </c>
      <c r="N16" s="7">
        <f>SUM(J16:M16)/4</f>
        <v>15.5</v>
      </c>
    </row>
    <row r="18" spans="1:14" x14ac:dyDescent="0.25">
      <c r="A18" s="19" t="s">
        <v>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22">
        <f>A12+1</f>
        <v>3</v>
      </c>
      <c r="B19" s="2" t="s">
        <v>9</v>
      </c>
      <c r="C19" s="3" t="s">
        <v>20</v>
      </c>
      <c r="D19" s="3" t="s">
        <v>1</v>
      </c>
      <c r="E19" s="3" t="s">
        <v>23</v>
      </c>
      <c r="F19" s="3" t="s">
        <v>24</v>
      </c>
      <c r="G19" s="3" t="s">
        <v>25</v>
      </c>
      <c r="H19" s="3" t="s">
        <v>26</v>
      </c>
      <c r="I19" s="3">
        <v>2015</v>
      </c>
      <c r="J19" s="3" t="s">
        <v>27</v>
      </c>
      <c r="K19" s="3" t="s">
        <v>28</v>
      </c>
      <c r="L19" s="3" t="s">
        <v>29</v>
      </c>
      <c r="M19" s="3" t="s">
        <v>30</v>
      </c>
      <c r="N19" s="3" t="s">
        <v>0</v>
      </c>
    </row>
    <row r="20" spans="1:14" x14ac:dyDescent="0.25">
      <c r="A20" s="22"/>
      <c r="B20" s="2" t="s">
        <v>5</v>
      </c>
      <c r="C20" s="7">
        <f>IF(C14&gt;0,C14,"-")</f>
        <v>123</v>
      </c>
      <c r="D20" s="5">
        <f t="shared" ref="D20:D21" si="10">C20</f>
        <v>123</v>
      </c>
      <c r="E20" s="7">
        <f t="shared" ref="E20:H20" si="11">IF(E14&gt;0,E14,"-")</f>
        <v>124</v>
      </c>
      <c r="F20" s="7">
        <f t="shared" si="11"/>
        <v>123</v>
      </c>
      <c r="G20" s="7">
        <f t="shared" si="11"/>
        <v>86</v>
      </c>
      <c r="H20" s="7">
        <f t="shared" si="11"/>
        <v>85.6</v>
      </c>
      <c r="I20" s="5">
        <f>IFERROR(SUM(E20:H20)/COUNT(E20:H20),0)</f>
        <v>104.65</v>
      </c>
      <c r="J20" s="7">
        <f t="shared" ref="J20:M20" si="12">IF(J14&gt;0,J14,"-")</f>
        <v>85.6</v>
      </c>
      <c r="K20" s="7" t="str">
        <f t="shared" si="12"/>
        <v>-</v>
      </c>
      <c r="L20" s="7" t="str">
        <f t="shared" si="12"/>
        <v>-</v>
      </c>
      <c r="M20" s="7" t="str">
        <f t="shared" si="12"/>
        <v>-</v>
      </c>
      <c r="N20" s="5">
        <f>IFERROR(SUM(J20:M20)/COUNT(J20:M20),0)</f>
        <v>85.6</v>
      </c>
    </row>
    <row r="21" spans="1:14" x14ac:dyDescent="0.25">
      <c r="A21" s="22"/>
      <c r="B21" s="2" t="s">
        <v>6</v>
      </c>
      <c r="C21" s="7">
        <f>IF(C7&gt;0,C7,"-")</f>
        <v>185</v>
      </c>
      <c r="D21" s="5">
        <f t="shared" si="10"/>
        <v>185</v>
      </c>
      <c r="E21" s="7">
        <f t="shared" ref="E21:H21" si="13">IF(E7&gt;0,E7,"-")</f>
        <v>184</v>
      </c>
      <c r="F21" s="7">
        <f t="shared" si="13"/>
        <v>183</v>
      </c>
      <c r="G21" s="7">
        <f t="shared" si="13"/>
        <v>162</v>
      </c>
      <c r="H21" s="7">
        <f t="shared" si="13"/>
        <v>162.19999999999999</v>
      </c>
      <c r="I21" s="5">
        <f>IFERROR(SUM(E21:H21)/COUNT(E21:H21),0)</f>
        <v>172.8</v>
      </c>
      <c r="J21" s="7">
        <f t="shared" ref="J21:M21" si="14">IF(J7&gt;0,J7,"-")</f>
        <v>165.9</v>
      </c>
      <c r="K21" s="7" t="str">
        <f t="shared" si="14"/>
        <v>-</v>
      </c>
      <c r="L21" s="7" t="str">
        <f t="shared" si="14"/>
        <v>-</v>
      </c>
      <c r="M21" s="7" t="str">
        <f t="shared" si="14"/>
        <v>-</v>
      </c>
      <c r="N21" s="5">
        <f>IFERROR(SUM(J21:M21)/COUNT(J21:M21),0)</f>
        <v>165.9</v>
      </c>
    </row>
    <row r="22" spans="1:14" x14ac:dyDescent="0.25">
      <c r="A22" s="22"/>
      <c r="B22" s="2" t="str">
        <f>CONCATENATE("Индикатор ","№",A19)</f>
        <v>Индикатор №3</v>
      </c>
      <c r="C22" s="6">
        <f>IFERROR(MROUND(C20/C21*100,0.1),"-")</f>
        <v>66.5</v>
      </c>
      <c r="D22" s="6">
        <f t="shared" ref="D22:N22" si="15">IFERROR(MROUND(D20/D21*100,0.1),"-")</f>
        <v>66.5</v>
      </c>
      <c r="E22" s="6">
        <f t="shared" si="15"/>
        <v>67.400000000000006</v>
      </c>
      <c r="F22" s="6">
        <f t="shared" si="15"/>
        <v>67.2</v>
      </c>
      <c r="G22" s="6">
        <f t="shared" si="15"/>
        <v>53.1</v>
      </c>
      <c r="H22" s="6">
        <f t="shared" si="15"/>
        <v>52.800000000000004</v>
      </c>
      <c r="I22" s="6">
        <f t="shared" si="15"/>
        <v>60.6</v>
      </c>
      <c r="J22" s="6">
        <f t="shared" si="15"/>
        <v>51.6</v>
      </c>
      <c r="K22" s="6" t="str">
        <f t="shared" si="15"/>
        <v>-</v>
      </c>
      <c r="L22" s="6" t="str">
        <f t="shared" si="15"/>
        <v>-</v>
      </c>
      <c r="M22" s="6" t="str">
        <f t="shared" si="15"/>
        <v>-</v>
      </c>
      <c r="N22" s="6">
        <f t="shared" si="15"/>
        <v>51.6</v>
      </c>
    </row>
    <row r="23" spans="1:14" x14ac:dyDescent="0.25">
      <c r="A23" s="22"/>
      <c r="B23" s="12" t="str">
        <f>CONCATENATE("Целевой индикатор №",A19," на 2016 год (проект)")</f>
        <v>Целевой индикатор №3 на 2016 год (проект)</v>
      </c>
      <c r="C23" s="30">
        <v>55</v>
      </c>
      <c r="D23" s="7">
        <f>C23</f>
        <v>55</v>
      </c>
      <c r="E23" s="30">
        <v>55</v>
      </c>
      <c r="F23" s="30">
        <v>55</v>
      </c>
      <c r="G23" s="30">
        <v>55</v>
      </c>
      <c r="H23" s="30">
        <v>55</v>
      </c>
      <c r="I23" s="7">
        <f>SUM(E23:H23)/4</f>
        <v>55</v>
      </c>
      <c r="J23" s="30">
        <v>55</v>
      </c>
      <c r="K23" s="30">
        <v>55</v>
      </c>
      <c r="L23" s="30">
        <v>55</v>
      </c>
      <c r="M23" s="30">
        <v>55</v>
      </c>
      <c r="N23" s="7">
        <f>SUM(J23:M23)/4</f>
        <v>55</v>
      </c>
    </row>
    <row r="25" spans="1:14" x14ac:dyDescent="0.25">
      <c r="A25" s="19" t="s">
        <v>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22">
        <f>A19+1</f>
        <v>4</v>
      </c>
      <c r="B26" s="2" t="s">
        <v>9</v>
      </c>
      <c r="C26" s="3" t="s">
        <v>20</v>
      </c>
      <c r="D26" s="3" t="s">
        <v>1</v>
      </c>
      <c r="E26" s="3" t="s">
        <v>23</v>
      </c>
      <c r="F26" s="3" t="s">
        <v>24</v>
      </c>
      <c r="G26" s="3" t="s">
        <v>25</v>
      </c>
      <c r="H26" s="3" t="s">
        <v>26</v>
      </c>
      <c r="I26" s="3">
        <v>2015</v>
      </c>
      <c r="J26" s="3" t="s">
        <v>27</v>
      </c>
      <c r="K26" s="3" t="s">
        <v>28</v>
      </c>
      <c r="L26" s="3" t="s">
        <v>29</v>
      </c>
      <c r="M26" s="3" t="s">
        <v>30</v>
      </c>
      <c r="N26" s="3" t="s">
        <v>0</v>
      </c>
    </row>
    <row r="27" spans="1:14" x14ac:dyDescent="0.25">
      <c r="A27" s="22"/>
      <c r="B27" s="2" t="s">
        <v>10</v>
      </c>
      <c r="C27" s="4">
        <v>59555.3</v>
      </c>
      <c r="D27" s="5">
        <f t="shared" ref="D27:D28" si="16">C27</f>
        <v>59555.3</v>
      </c>
      <c r="E27" s="4">
        <v>48703.199999999997</v>
      </c>
      <c r="F27" s="4">
        <v>53583.8</v>
      </c>
      <c r="G27" s="4">
        <v>81049</v>
      </c>
      <c r="H27" s="4">
        <v>86081.8</v>
      </c>
      <c r="I27" s="5">
        <f>IFERROR(SUM(E27:H27)/COUNT(E27:H27),0)</f>
        <v>67354.45</v>
      </c>
      <c r="J27" s="4">
        <v>66827</v>
      </c>
      <c r="K27" s="4"/>
      <c r="L27" s="4"/>
      <c r="M27" s="4"/>
      <c r="N27" s="5">
        <f>IFERROR(SUM(J27:M27)/COUNT(J27:M27),0)</f>
        <v>66827</v>
      </c>
    </row>
    <row r="28" spans="1:14" x14ac:dyDescent="0.25">
      <c r="A28" s="22"/>
      <c r="B28" s="2" t="s">
        <v>11</v>
      </c>
      <c r="C28" s="4">
        <f>(64000+41500)/2</f>
        <v>52750</v>
      </c>
      <c r="D28" s="5">
        <f t="shared" si="16"/>
        <v>52750</v>
      </c>
      <c r="E28" s="4">
        <v>62000</v>
      </c>
      <c r="F28" s="4">
        <v>62000</v>
      </c>
      <c r="G28" s="4">
        <v>62000</v>
      </c>
      <c r="H28" s="4">
        <v>62000</v>
      </c>
      <c r="I28" s="5">
        <f>IFERROR(SUM(E28:H28)/COUNT(E28:H28),0)</f>
        <v>62000</v>
      </c>
      <c r="J28" s="4">
        <v>62000</v>
      </c>
      <c r="K28" s="4"/>
      <c r="L28" s="4"/>
      <c r="M28" s="4"/>
      <c r="N28" s="5">
        <f>IFERROR(SUM(J28:M28)/COUNT(J28:M28),0)</f>
        <v>62000</v>
      </c>
    </row>
    <row r="29" spans="1:14" x14ac:dyDescent="0.25">
      <c r="A29" s="22"/>
      <c r="B29" s="2" t="str">
        <f>CONCATENATE("Индикатор ","№",A26)</f>
        <v>Индикатор №4</v>
      </c>
      <c r="C29" s="6">
        <f>IFERROR(MROUND(C27/C28*100,0.1),"-")</f>
        <v>112.9</v>
      </c>
      <c r="D29" s="6">
        <f t="shared" ref="D29:N29" si="17">IFERROR(MROUND(D27/D28*100,0.1),"-")</f>
        <v>112.9</v>
      </c>
      <c r="E29" s="6">
        <f t="shared" si="17"/>
        <v>78.600000000000009</v>
      </c>
      <c r="F29" s="6">
        <f t="shared" si="17"/>
        <v>86.4</v>
      </c>
      <c r="G29" s="6">
        <f t="shared" si="17"/>
        <v>130.70000000000002</v>
      </c>
      <c r="H29" s="6">
        <f t="shared" si="17"/>
        <v>138.80000000000001</v>
      </c>
      <c r="I29" s="6">
        <f t="shared" si="17"/>
        <v>108.60000000000001</v>
      </c>
      <c r="J29" s="6">
        <f t="shared" si="17"/>
        <v>107.80000000000001</v>
      </c>
      <c r="K29" s="6" t="str">
        <f t="shared" si="17"/>
        <v>-</v>
      </c>
      <c r="L29" s="6" t="str">
        <f t="shared" si="17"/>
        <v>-</v>
      </c>
      <c r="M29" s="6" t="str">
        <f t="shared" si="17"/>
        <v>-</v>
      </c>
      <c r="N29" s="6">
        <f t="shared" si="17"/>
        <v>107.80000000000001</v>
      </c>
    </row>
    <row r="30" spans="1:14" x14ac:dyDescent="0.25">
      <c r="A30" s="22"/>
      <c r="B30" s="12" t="str">
        <f>CONCATENATE("Целевой индикатор №",A26," на 2016 год (проект)")</f>
        <v>Целевой индикатор №4 на 2016 год (проект)</v>
      </c>
      <c r="C30" s="30">
        <v>100</v>
      </c>
      <c r="D30" s="7">
        <f>C30</f>
        <v>100</v>
      </c>
      <c r="E30" s="30">
        <v>100</v>
      </c>
      <c r="F30" s="30">
        <v>100</v>
      </c>
      <c r="G30" s="30">
        <v>100</v>
      </c>
      <c r="H30" s="30">
        <v>100</v>
      </c>
      <c r="I30" s="7">
        <f>SUM(E30:H30)/4</f>
        <v>100</v>
      </c>
      <c r="J30" s="30">
        <v>100</v>
      </c>
      <c r="K30" s="30">
        <v>100</v>
      </c>
      <c r="L30" s="30">
        <v>100</v>
      </c>
      <c r="M30" s="30">
        <v>100</v>
      </c>
      <c r="N30" s="7">
        <f>SUM(J30:M30)/4</f>
        <v>100</v>
      </c>
    </row>
    <row r="32" spans="1:14" x14ac:dyDescent="0.25">
      <c r="A32" s="19" t="s">
        <v>12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22">
        <f>A26+1</f>
        <v>5</v>
      </c>
      <c r="B33" s="2" t="s">
        <v>9</v>
      </c>
      <c r="C33" s="3" t="s">
        <v>20</v>
      </c>
      <c r="D33" s="3" t="s">
        <v>1</v>
      </c>
      <c r="E33" s="3" t="s">
        <v>23</v>
      </c>
      <c r="F33" s="3" t="s">
        <v>24</v>
      </c>
      <c r="G33" s="3" t="s">
        <v>25</v>
      </c>
      <c r="H33" s="3" t="s">
        <v>26</v>
      </c>
      <c r="I33" s="3">
        <v>2015</v>
      </c>
      <c r="J33" s="3" t="s">
        <v>27</v>
      </c>
      <c r="K33" s="3" t="s">
        <v>28</v>
      </c>
      <c r="L33" s="3" t="s">
        <v>29</v>
      </c>
      <c r="M33" s="3" t="s">
        <v>30</v>
      </c>
      <c r="N33" s="3" t="s">
        <v>0</v>
      </c>
    </row>
    <row r="34" spans="1:14" x14ac:dyDescent="0.25">
      <c r="A34" s="22"/>
      <c r="B34" s="2" t="s">
        <v>13</v>
      </c>
      <c r="C34" s="4">
        <f>270604.02+5406403.15</f>
        <v>5677007.1699999999</v>
      </c>
      <c r="D34" s="5">
        <f>C34</f>
        <v>5677007.1699999999</v>
      </c>
      <c r="E34" s="4">
        <f>120001.14+2608652.1</f>
        <v>2728653.24</v>
      </c>
      <c r="F34" s="4">
        <f>200001.9+4306306.91</f>
        <v>4506308.8100000005</v>
      </c>
      <c r="G34" s="4">
        <f>200001.9+5141755.06</f>
        <v>5341756.96</v>
      </c>
      <c r="H34" s="4">
        <f>200001.9+8141900.12</f>
        <v>8341902.0200000005</v>
      </c>
      <c r="I34" s="5">
        <f>IF(F34=0,E34,0)+IF(G34=0,F34,0)+IF(H34=0,G34,0)+IF(H34=0,0,H34)</f>
        <v>8341902.0200000005</v>
      </c>
      <c r="J34" s="4">
        <v>3666939.69</v>
      </c>
      <c r="K34" s="4"/>
      <c r="L34" s="4"/>
      <c r="M34" s="4"/>
      <c r="N34" s="5">
        <f>IF(K34=0,J34,0)+IF(L34=0,K34,0)+IF(M34=0,L34,0)+IF(M34=0,0,M34)</f>
        <v>3666939.69</v>
      </c>
    </row>
    <row r="35" spans="1:14" x14ac:dyDescent="0.25">
      <c r="A35" s="22"/>
      <c r="B35" s="2" t="s">
        <v>14</v>
      </c>
      <c r="C35" s="4">
        <v>161650627.72</v>
      </c>
      <c r="D35" s="5">
        <f>C35</f>
        <v>161650627.72</v>
      </c>
      <c r="E35" s="4">
        <f>48132749.28</f>
        <v>48132749.280000001</v>
      </c>
      <c r="F35" s="4">
        <v>100231080.42</v>
      </c>
      <c r="G35" s="4">
        <v>172997033.75</v>
      </c>
      <c r="H35" s="4">
        <v>172997033.75</v>
      </c>
      <c r="I35" s="5">
        <f>IF(F35=0,E35,0)+IF(G35=0,F35,0)+IF(H35=0,G35,0)+IF(H35=0,0,H35)</f>
        <v>172997033.75</v>
      </c>
      <c r="J35" s="4">
        <v>38624571.079999998</v>
      </c>
      <c r="K35" s="4"/>
      <c r="L35" s="4"/>
      <c r="M35" s="4"/>
      <c r="N35" s="5">
        <f>IF(K35=0,J35,0)+IF(L35=0,K35,0)+IF(M35=0,L35,0)+IF(M35=0,0,M35)</f>
        <v>38624571.079999998</v>
      </c>
    </row>
    <row r="36" spans="1:14" x14ac:dyDescent="0.25">
      <c r="A36" s="22"/>
      <c r="B36" s="2" t="str">
        <f>CONCATENATE("Индикатор ","№",A33)</f>
        <v>Индикатор №5</v>
      </c>
      <c r="C36" s="6">
        <f>IFERROR(MROUND(C34/C35*100,0.1),"-")</f>
        <v>3.5</v>
      </c>
      <c r="D36" s="6">
        <f t="shared" ref="D36:N36" si="18">IFERROR(MROUND(D34/D35*100,0.1),"-")</f>
        <v>3.5</v>
      </c>
      <c r="E36" s="6">
        <f t="shared" si="18"/>
        <v>5.7</v>
      </c>
      <c r="F36" s="6">
        <f t="shared" si="18"/>
        <v>4.5</v>
      </c>
      <c r="G36" s="6">
        <f t="shared" si="18"/>
        <v>3.1</v>
      </c>
      <c r="H36" s="6">
        <f t="shared" si="18"/>
        <v>4.8000000000000007</v>
      </c>
      <c r="I36" s="6">
        <f t="shared" si="18"/>
        <v>4.8000000000000007</v>
      </c>
      <c r="J36" s="6">
        <f t="shared" si="18"/>
        <v>9.5</v>
      </c>
      <c r="K36" s="6" t="str">
        <f t="shared" si="18"/>
        <v>-</v>
      </c>
      <c r="L36" s="6" t="str">
        <f t="shared" si="18"/>
        <v>-</v>
      </c>
      <c r="M36" s="6" t="str">
        <f t="shared" si="18"/>
        <v>-</v>
      </c>
      <c r="N36" s="6">
        <f t="shared" si="18"/>
        <v>9.5</v>
      </c>
    </row>
    <row r="37" spans="1:14" x14ac:dyDescent="0.25">
      <c r="A37" s="22"/>
      <c r="B37" s="12" t="str">
        <f>CONCATENATE("Целевой индикатор №",A33," на 2016 год (проект)")</f>
        <v>Целевой индикатор №5 на 2016 год (проект)</v>
      </c>
      <c r="C37" s="30">
        <v>10</v>
      </c>
      <c r="D37" s="7">
        <f>C37</f>
        <v>10</v>
      </c>
      <c r="E37" s="30">
        <v>10</v>
      </c>
      <c r="F37" s="30">
        <v>10</v>
      </c>
      <c r="G37" s="30">
        <v>10</v>
      </c>
      <c r="H37" s="30">
        <v>10</v>
      </c>
      <c r="I37" s="7">
        <f>SUM(E37:H37)/4</f>
        <v>10</v>
      </c>
      <c r="J37" s="30">
        <v>10</v>
      </c>
      <c r="K37" s="30">
        <v>10</v>
      </c>
      <c r="L37" s="30">
        <v>10</v>
      </c>
      <c r="M37" s="30">
        <v>10</v>
      </c>
      <c r="N37" s="7">
        <f>SUM(J37:M37)/4</f>
        <v>10</v>
      </c>
    </row>
    <row r="39" spans="1:14" ht="36.75" customHeight="1" x14ac:dyDescent="0.25">
      <c r="A39" s="27" t="s">
        <v>15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x14ac:dyDescent="0.25">
      <c r="A40" s="22">
        <f>A33+1</f>
        <v>6</v>
      </c>
      <c r="B40" s="2" t="s">
        <v>9</v>
      </c>
      <c r="C40" s="3" t="s">
        <v>20</v>
      </c>
      <c r="D40" s="3" t="s">
        <v>1</v>
      </c>
      <c r="E40" s="3" t="s">
        <v>23</v>
      </c>
      <c r="F40" s="3" t="s">
        <v>24</v>
      </c>
      <c r="G40" s="3" t="s">
        <v>25</v>
      </c>
      <c r="H40" s="3" t="s">
        <v>26</v>
      </c>
      <c r="I40" s="3">
        <v>2015</v>
      </c>
      <c r="J40" s="3" t="s">
        <v>27</v>
      </c>
      <c r="K40" s="3" t="s">
        <v>28</v>
      </c>
      <c r="L40" s="3" t="s">
        <v>29</v>
      </c>
      <c r="M40" s="3" t="s">
        <v>30</v>
      </c>
      <c r="N40" s="3" t="s">
        <v>0</v>
      </c>
    </row>
    <row r="41" spans="1:14" x14ac:dyDescent="0.25">
      <c r="A41" s="22"/>
      <c r="B41" s="2" t="s">
        <v>16</v>
      </c>
      <c r="C41" s="4">
        <v>5943.3</v>
      </c>
      <c r="D41" s="5">
        <f t="shared" ref="D41:D42" si="19">C41</f>
        <v>5943.3</v>
      </c>
      <c r="E41" s="4">
        <f>3235.3+1971</f>
        <v>5206.3</v>
      </c>
      <c r="F41" s="4">
        <f>5246.9+4867.5</f>
        <v>10114.4</v>
      </c>
      <c r="G41" s="4">
        <f>3637.2+3399.2</f>
        <v>7036.4</v>
      </c>
      <c r="H41" s="4">
        <f>4536.7+2941.3</f>
        <v>7478</v>
      </c>
      <c r="I41" s="5">
        <f>IFERROR(SUM(E41:H41)/COUNT(E41:H41),0)</f>
        <v>7458.7749999999996</v>
      </c>
      <c r="J41" s="4">
        <f>3942.9+1882.2</f>
        <v>5825.1</v>
      </c>
      <c r="K41" s="4"/>
      <c r="L41" s="4"/>
      <c r="M41" s="4"/>
      <c r="N41" s="5">
        <f>IFERROR(SUM(J41:M41)/COUNT(J41:M41),0)</f>
        <v>5825.1</v>
      </c>
    </row>
    <row r="42" spans="1:14" x14ac:dyDescent="0.25">
      <c r="A42" s="22"/>
      <c r="B42" s="2" t="s">
        <v>17</v>
      </c>
      <c r="C42" s="4">
        <v>10960.7</v>
      </c>
      <c r="D42" s="5">
        <f t="shared" si="19"/>
        <v>10960.7</v>
      </c>
      <c r="E42" s="4">
        <f>9292</f>
        <v>9292</v>
      </c>
      <c r="F42" s="4">
        <v>14948.8</v>
      </c>
      <c r="G42" s="4">
        <v>11794.4</v>
      </c>
      <c r="H42" s="4">
        <v>12680.5</v>
      </c>
      <c r="I42" s="5">
        <f>IFERROR(SUM(E42:H42)/COUNT(E42:H42),0)</f>
        <v>12178.924999999999</v>
      </c>
      <c r="J42" s="4">
        <v>10403.799999999999</v>
      </c>
      <c r="K42" s="4"/>
      <c r="L42" s="4"/>
      <c r="M42" s="4"/>
      <c r="N42" s="5">
        <f>IFERROR(SUM(J42:M42)/COUNT(J42:M42),0)</f>
        <v>10403.799999999999</v>
      </c>
    </row>
    <row r="43" spans="1:14" x14ac:dyDescent="0.25">
      <c r="A43" s="22"/>
      <c r="B43" s="2" t="str">
        <f>CONCATENATE("Индикатор ","№",A40)</f>
        <v>Индикатор №6</v>
      </c>
      <c r="C43" s="6">
        <f>IFERROR(MROUND(C41/C42*100,0.1),"-")</f>
        <v>54.2</v>
      </c>
      <c r="D43" s="6">
        <f t="shared" ref="D43:N43" si="20">IFERROR(MROUND(D41/D42*100,0.1),"-")</f>
        <v>54.2</v>
      </c>
      <c r="E43" s="6">
        <f t="shared" si="20"/>
        <v>56</v>
      </c>
      <c r="F43" s="6">
        <f t="shared" si="20"/>
        <v>67.7</v>
      </c>
      <c r="G43" s="6">
        <f t="shared" si="20"/>
        <v>59.7</v>
      </c>
      <c r="H43" s="6">
        <f t="shared" si="20"/>
        <v>59</v>
      </c>
      <c r="I43" s="6">
        <f t="shared" si="20"/>
        <v>61.2</v>
      </c>
      <c r="J43" s="6">
        <f t="shared" si="20"/>
        <v>56</v>
      </c>
      <c r="K43" s="6" t="str">
        <f t="shared" si="20"/>
        <v>-</v>
      </c>
      <c r="L43" s="6" t="str">
        <f t="shared" si="20"/>
        <v>-</v>
      </c>
      <c r="M43" s="6" t="str">
        <f t="shared" si="20"/>
        <v>-</v>
      </c>
      <c r="N43" s="6">
        <f t="shared" si="20"/>
        <v>56</v>
      </c>
    </row>
    <row r="44" spans="1:14" x14ac:dyDescent="0.25">
      <c r="A44" s="22"/>
      <c r="B44" s="12" t="str">
        <f>CONCATENATE("Целевой индикатор №",A40," на 2016 год (проект)")</f>
        <v>Целевой индикатор №6 на 2016 год (проект)</v>
      </c>
      <c r="C44" s="30">
        <v>61</v>
      </c>
      <c r="D44" s="7">
        <f>C44</f>
        <v>61</v>
      </c>
      <c r="E44" s="30">
        <v>61</v>
      </c>
      <c r="F44" s="30">
        <v>61</v>
      </c>
      <c r="G44" s="30">
        <v>61</v>
      </c>
      <c r="H44" s="30">
        <v>61</v>
      </c>
      <c r="I44" s="7">
        <f>SUM(E44:H44)/4</f>
        <v>61</v>
      </c>
      <c r="J44" s="30">
        <v>61</v>
      </c>
      <c r="K44" s="30">
        <v>61</v>
      </c>
      <c r="L44" s="30">
        <v>61</v>
      </c>
      <c r="M44" s="30">
        <v>61</v>
      </c>
      <c r="N44" s="7">
        <f>SUM(J44:M44)/4</f>
        <v>61</v>
      </c>
    </row>
    <row r="46" spans="1:14" x14ac:dyDescent="0.25">
      <c r="A46" s="26" t="s">
        <v>18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22">
        <f>A40+1</f>
        <v>7</v>
      </c>
      <c r="B47" s="2" t="s">
        <v>9</v>
      </c>
      <c r="C47" s="3" t="s">
        <v>20</v>
      </c>
      <c r="D47" s="3" t="s">
        <v>1</v>
      </c>
      <c r="E47" s="3" t="s">
        <v>23</v>
      </c>
      <c r="F47" s="3" t="s">
        <v>24</v>
      </c>
      <c r="G47" s="3" t="s">
        <v>25</v>
      </c>
      <c r="H47" s="3" t="s">
        <v>26</v>
      </c>
      <c r="I47" s="3">
        <v>2015</v>
      </c>
      <c r="J47" s="3" t="s">
        <v>27</v>
      </c>
      <c r="K47" s="3" t="s">
        <v>28</v>
      </c>
      <c r="L47" s="3" t="s">
        <v>29</v>
      </c>
      <c r="M47" s="3" t="s">
        <v>30</v>
      </c>
      <c r="N47" s="3" t="s">
        <v>0</v>
      </c>
    </row>
    <row r="48" spans="1:14" x14ac:dyDescent="0.25">
      <c r="A48" s="22"/>
      <c r="B48" s="2" t="s">
        <v>19</v>
      </c>
      <c r="C48" s="4">
        <v>1176.3</v>
      </c>
      <c r="D48" s="5">
        <f t="shared" ref="D48:D49" si="21">C48</f>
        <v>1176.3</v>
      </c>
      <c r="E48" s="4">
        <v>454.9</v>
      </c>
      <c r="F48" s="4">
        <v>664.2</v>
      </c>
      <c r="G48" s="4">
        <v>479.5</v>
      </c>
      <c r="H48" s="4">
        <v>517.5</v>
      </c>
      <c r="I48" s="5">
        <f>IFERROR(SUM(E48:H48)/COUNT(E48:H48),0)</f>
        <v>529.02499999999998</v>
      </c>
      <c r="J48" s="4">
        <v>608.4</v>
      </c>
      <c r="K48" s="4"/>
      <c r="L48" s="4"/>
      <c r="M48" s="4"/>
      <c r="N48" s="5">
        <f>IFERROR(SUM(J48:M48)/COUNT(J48:M48),0)</f>
        <v>608.4</v>
      </c>
    </row>
    <row r="49" spans="1:14" x14ac:dyDescent="0.25">
      <c r="A49" s="22"/>
      <c r="B49" s="2" t="s">
        <v>17</v>
      </c>
      <c r="C49" s="7">
        <f>IF(C42&gt;0,C42,"-")</f>
        <v>10960.7</v>
      </c>
      <c r="D49" s="5">
        <f t="shared" si="21"/>
        <v>10960.7</v>
      </c>
      <c r="E49" s="7">
        <f t="shared" ref="E49:H49" si="22">IF(E42&gt;0,E42,"-")</f>
        <v>9292</v>
      </c>
      <c r="F49" s="7">
        <f t="shared" si="22"/>
        <v>14948.8</v>
      </c>
      <c r="G49" s="7">
        <f t="shared" si="22"/>
        <v>11794.4</v>
      </c>
      <c r="H49" s="7">
        <f t="shared" si="22"/>
        <v>12680.5</v>
      </c>
      <c r="I49" s="5">
        <f>IFERROR(SUM(E49:H49)/COUNT(E49:H49),0)</f>
        <v>12178.924999999999</v>
      </c>
      <c r="J49" s="7">
        <f t="shared" ref="J49:M49" si="23">IF(J42&gt;0,J42,"-")</f>
        <v>10403.799999999999</v>
      </c>
      <c r="K49" s="7" t="str">
        <f t="shared" si="23"/>
        <v>-</v>
      </c>
      <c r="L49" s="7" t="str">
        <f t="shared" si="23"/>
        <v>-</v>
      </c>
      <c r="M49" s="7" t="str">
        <f t="shared" si="23"/>
        <v>-</v>
      </c>
      <c r="N49" s="5">
        <f>IFERROR(SUM(J49:M49)/COUNT(J49:M49),0)</f>
        <v>10403.799999999999</v>
      </c>
    </row>
    <row r="50" spans="1:14" x14ac:dyDescent="0.25">
      <c r="A50" s="22"/>
      <c r="B50" s="2" t="str">
        <f>CONCATENATE("Индикатор ","№",A47)</f>
        <v>Индикатор №7</v>
      </c>
      <c r="C50" s="6">
        <f>IFERROR(MROUND(C48/C49*100,0.1),"-")</f>
        <v>10.700000000000001</v>
      </c>
      <c r="D50" s="6">
        <f t="shared" ref="D50:N50" si="24">IFERROR(MROUND(D48/D49*100,0.1),"-")</f>
        <v>10.700000000000001</v>
      </c>
      <c r="E50" s="6">
        <f t="shared" si="24"/>
        <v>4.9000000000000004</v>
      </c>
      <c r="F50" s="6">
        <f t="shared" si="24"/>
        <v>4.4000000000000004</v>
      </c>
      <c r="G50" s="6">
        <f t="shared" si="24"/>
        <v>4.1000000000000005</v>
      </c>
      <c r="H50" s="6">
        <f t="shared" si="24"/>
        <v>4.1000000000000005</v>
      </c>
      <c r="I50" s="6">
        <f t="shared" si="24"/>
        <v>4.3</v>
      </c>
      <c r="J50" s="6">
        <f t="shared" si="24"/>
        <v>5.8000000000000007</v>
      </c>
      <c r="K50" s="6" t="str">
        <f t="shared" si="24"/>
        <v>-</v>
      </c>
      <c r="L50" s="6" t="str">
        <f t="shared" si="24"/>
        <v>-</v>
      </c>
      <c r="M50" s="6" t="str">
        <f t="shared" si="24"/>
        <v>-</v>
      </c>
      <c r="N50" s="6">
        <f t="shared" si="24"/>
        <v>5.8000000000000007</v>
      </c>
    </row>
    <row r="51" spans="1:14" x14ac:dyDescent="0.25">
      <c r="A51" s="22"/>
      <c r="B51" s="12" t="str">
        <f>CONCATENATE("Целевой индикатор №",A47," на 2016 год (проект)")</f>
        <v>Целевой индикатор №7 на 2016 год (проект)</v>
      </c>
      <c r="C51" s="30">
        <v>3</v>
      </c>
      <c r="D51" s="7">
        <f>C51</f>
        <v>3</v>
      </c>
      <c r="E51" s="30">
        <v>3</v>
      </c>
      <c r="F51" s="30">
        <v>3</v>
      </c>
      <c r="G51" s="30">
        <v>3</v>
      </c>
      <c r="H51" s="30">
        <v>3</v>
      </c>
      <c r="I51" s="7">
        <f>SUM(E51:H51)/4</f>
        <v>3</v>
      </c>
      <c r="J51" s="30">
        <v>3</v>
      </c>
      <c r="K51" s="30">
        <v>3</v>
      </c>
      <c r="L51" s="30">
        <v>3</v>
      </c>
      <c r="M51" s="30">
        <v>3</v>
      </c>
      <c r="N51" s="7">
        <f>SUM(J51:M51)/4</f>
        <v>3</v>
      </c>
    </row>
    <row r="52" spans="1:14" x14ac:dyDescent="0.25">
      <c r="A52" s="25" t="str">
        <f>CONCATENATE("Итоговый анализ индикаторов на ",C2," год")</f>
        <v>Итоговый анализ индикаторов на 01.04.2016 год</v>
      </c>
      <c r="B52" s="25"/>
      <c r="C52" s="25"/>
      <c r="D52" s="25"/>
      <c r="E52" s="25"/>
      <c r="F52" s="25"/>
      <c r="G52" s="25"/>
      <c r="H52" s="25"/>
      <c r="I52" s="25"/>
      <c r="J52" s="15"/>
      <c r="K52" s="15"/>
      <c r="L52" s="15"/>
      <c r="M52" s="15"/>
      <c r="N52" s="15"/>
    </row>
    <row r="53" spans="1:14" x14ac:dyDescent="0.25">
      <c r="A53" s="22">
        <v>8</v>
      </c>
      <c r="B53" s="2" t="s">
        <v>31</v>
      </c>
      <c r="C53" s="3" t="s">
        <v>34</v>
      </c>
      <c r="D53" s="3" t="s">
        <v>35</v>
      </c>
      <c r="E53" s="3" t="s">
        <v>36</v>
      </c>
      <c r="F53" s="3" t="s">
        <v>37</v>
      </c>
      <c r="G53" s="3" t="s">
        <v>38</v>
      </c>
      <c r="H53" s="3" t="s">
        <v>39</v>
      </c>
      <c r="I53" s="3" t="s">
        <v>40</v>
      </c>
      <c r="J53" s="16"/>
      <c r="K53" s="16"/>
      <c r="L53" s="16"/>
      <c r="M53" s="16"/>
      <c r="N53" s="16"/>
    </row>
    <row r="54" spans="1:14" x14ac:dyDescent="0.25">
      <c r="A54" s="22"/>
      <c r="B54" s="2" t="s">
        <v>32</v>
      </c>
      <c r="C54" s="6">
        <f>$N$8</f>
        <v>8.0711271850512354</v>
      </c>
      <c r="D54" s="6">
        <f>$N$15</f>
        <v>15.600000000000001</v>
      </c>
      <c r="E54" s="6">
        <f>$N$22</f>
        <v>51.6</v>
      </c>
      <c r="F54" s="6">
        <f>$N$29</f>
        <v>107.80000000000001</v>
      </c>
      <c r="G54" s="6">
        <f>$N$36</f>
        <v>9.5</v>
      </c>
      <c r="H54" s="6">
        <f>$N$43</f>
        <v>56</v>
      </c>
      <c r="I54" s="6">
        <f>$N$50</f>
        <v>5.8000000000000007</v>
      </c>
      <c r="J54" s="16"/>
      <c r="K54" s="16"/>
      <c r="L54" s="16"/>
      <c r="M54" s="16"/>
      <c r="N54" s="16"/>
    </row>
    <row r="55" spans="1:14" x14ac:dyDescent="0.25">
      <c r="A55" s="22"/>
      <c r="B55" s="12" t="s">
        <v>41</v>
      </c>
      <c r="C55" s="5">
        <f>$N$9</f>
        <v>8.5</v>
      </c>
      <c r="D55" s="5">
        <f>$N$16</f>
        <v>15.5</v>
      </c>
      <c r="E55" s="5">
        <f>$N$23</f>
        <v>55</v>
      </c>
      <c r="F55" s="5">
        <f>$N$30</f>
        <v>100</v>
      </c>
      <c r="G55" s="5">
        <f>$N$37</f>
        <v>10</v>
      </c>
      <c r="H55" s="5">
        <f>$N$44</f>
        <v>61</v>
      </c>
      <c r="I55" s="5">
        <f>$N$51</f>
        <v>3</v>
      </c>
      <c r="J55" s="16"/>
      <c r="K55" s="16"/>
      <c r="L55" s="16"/>
      <c r="M55" s="16"/>
      <c r="N55" s="16"/>
    </row>
  </sheetData>
  <sheetProtection algorithmName="SHA-512" hashValue="LmfloMKIF+CS6ydrUHQdHkS8qF+1GzZDU1WF4m6aqeDknHXf0EwP8YCH02SyVP5b2ML4mxHMupNHsehxP0kWJA==" saltValue="90/FOPHZ9Qx1MIoyRR17XA==" spinCount="100000" sheet="1" objects="1" scenarios="1" formatCells="0" formatColumns="0" formatRows="0" insertColumns="0" insertRows="0" insertHyperlinks="0" deleteColumns="0" deleteRows="0" sort="0" autoFilter="0" pivotTables="0"/>
  <protectedRanges>
    <protectedRange sqref="C1:E1" name="Диапазон3"/>
    <protectedRange sqref="C2 C6:C7 E6:H7 J6:M7 C9 E9:H9 J9:M9 C14 E14:H14 J14:M14 C16 E16:H16 J16:M16 C23 E23:H23 J23:M23 C27:C28 E27:H28 J27:M28 C30 E30:H30 J30:M30" name="Диапазон1"/>
    <protectedRange sqref="C34:C35 C37 E34:H35 J34:M35 E37:H37 J37:M37 C41:C42 E41:H42 J41:M42 C44 E44:H44 J44:M44 C48 E48:H48 J48:M48 C51 E51:H51 J51:M51" name="Диапазон2"/>
  </protectedRanges>
  <mergeCells count="19">
    <mergeCell ref="C1:E1"/>
    <mergeCell ref="A52:I52"/>
    <mergeCell ref="A46:N46"/>
    <mergeCell ref="A47:A51"/>
    <mergeCell ref="A1:B1"/>
    <mergeCell ref="A32:N32"/>
    <mergeCell ref="A33:A37"/>
    <mergeCell ref="A39:N39"/>
    <mergeCell ref="A40:A44"/>
    <mergeCell ref="A18:N18"/>
    <mergeCell ref="A19:A23"/>
    <mergeCell ref="A25:N25"/>
    <mergeCell ref="A26:A30"/>
    <mergeCell ref="A5:A9"/>
    <mergeCell ref="A4:N4"/>
    <mergeCell ref="A11:N11"/>
    <mergeCell ref="A12:A16"/>
    <mergeCell ref="A53:A55"/>
    <mergeCell ref="A2:B2"/>
  </mergeCells>
  <conditionalFormatting sqref="C8:N8">
    <cfRule type="cellIs" dxfId="13" priority="15" operator="lessThan">
      <formula>$N$9</formula>
    </cfRule>
  </conditionalFormatting>
  <conditionalFormatting sqref="C15:N15">
    <cfRule type="cellIs" dxfId="12" priority="14" operator="lessThan">
      <formula>$N$16</formula>
    </cfRule>
  </conditionalFormatting>
  <conditionalFormatting sqref="C22:N22">
    <cfRule type="cellIs" dxfId="11" priority="13" operator="lessThan">
      <formula>$N$23</formula>
    </cfRule>
  </conditionalFormatting>
  <conditionalFormatting sqref="C29:N29">
    <cfRule type="cellIs" dxfId="10" priority="12" operator="lessThan">
      <formula>$N$30</formula>
    </cfRule>
  </conditionalFormatting>
  <conditionalFormatting sqref="C36:N36">
    <cfRule type="cellIs" dxfId="9" priority="11" operator="lessThan">
      <formula>$N$37</formula>
    </cfRule>
  </conditionalFormatting>
  <conditionalFormatting sqref="C43:N43">
    <cfRule type="cellIs" dxfId="8" priority="10" operator="lessThan">
      <formula>$N$44</formula>
    </cfRule>
  </conditionalFormatting>
  <conditionalFormatting sqref="C50:N50">
    <cfRule type="cellIs" dxfId="7" priority="9" operator="greaterThan">
      <formula>$N$51</formula>
    </cfRule>
  </conditionalFormatting>
  <conditionalFormatting sqref="C54">
    <cfRule type="cellIs" dxfId="6" priority="7" operator="lessThan">
      <formula>$C$55</formula>
    </cfRule>
  </conditionalFormatting>
  <conditionalFormatting sqref="D54">
    <cfRule type="cellIs" dxfId="5" priority="6" operator="lessThan">
      <formula>$D$55</formula>
    </cfRule>
  </conditionalFormatting>
  <conditionalFormatting sqref="E54">
    <cfRule type="cellIs" dxfId="4" priority="5" operator="lessThan">
      <formula>$E$55</formula>
    </cfRule>
  </conditionalFormatting>
  <conditionalFormatting sqref="F54">
    <cfRule type="cellIs" dxfId="3" priority="4" operator="lessThan">
      <formula>$F$55</formula>
    </cfRule>
  </conditionalFormatting>
  <conditionalFormatting sqref="G54">
    <cfRule type="cellIs" dxfId="2" priority="3" operator="lessThan">
      <formula>$G$55</formula>
    </cfRule>
  </conditionalFormatting>
  <conditionalFormatting sqref="H54">
    <cfRule type="cellIs" dxfId="1" priority="2" operator="lessThan">
      <formula>$H$55</formula>
    </cfRule>
  </conditionalFormatting>
  <conditionalFormatting sqref="I54">
    <cfRule type="cellIs" dxfId="0" priority="1" operator="greaterThan">
      <formula>$I$55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</vt:lpstr>
      <vt:lpstr>Индикаторы</vt:lpstr>
      <vt:lpstr>График!Область_печати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amanteya</dc:creator>
  <cp:lastModifiedBy>amanteya</cp:lastModifiedBy>
  <cp:lastPrinted>2016-04-08T14:24:35Z</cp:lastPrinted>
  <dcterms:created xsi:type="dcterms:W3CDTF">2016-04-08T07:35:53Z</dcterms:created>
  <dcterms:modified xsi:type="dcterms:W3CDTF">2016-04-08T15:17:23Z</dcterms:modified>
</cp:coreProperties>
</file>